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C:\FrewerE\Work for Bob\Getting About Website\GA Website Updates April 2016\Taxi\"/>
    </mc:Choice>
  </mc:AlternateContent>
  <x:bookViews>
    <x:workbookView xWindow="0" yWindow="45" windowWidth="15570" windowHeight="11820"/>
  </x:bookViews>
  <x:sheets>
    <x:sheet name="Sheet1" sheetId="1" r:id="rId1"/>
  </x:sheets>
  <x:calcPr calcId="171027"/>
</x:workbook>
</file>

<file path=xl/calcChain.xml><?xml version="1.0" encoding="utf-8"?>
<calcChain xmlns="http://schemas.openxmlformats.org/spreadsheetml/2006/main">
  <c r="I27" i="1" l="1"/>
  <c r="E25" i="1"/>
  <c r="B25" i="1"/>
  <c r="C25" i="1" s="1"/>
  <c r="D25" i="1" s="1"/>
  <c r="I20" i="1"/>
  <c r="B18" i="1"/>
  <c r="C18" i="1"/>
  <c r="D18" i="1" s="1"/>
  <c r="C11" i="1"/>
  <c r="D11" i="1"/>
  <c r="H11" i="1" s="1"/>
  <c r="D13" i="1"/>
  <c r="F13" i="1" s="1"/>
  <c r="C13" i="1" s="1"/>
  <c r="F11" i="1" l="1"/>
  <c r="K13" i="1"/>
  <c r="M13" i="1" s="1"/>
  <c r="N13" i="1" s="1"/>
  <c r="D12" i="1"/>
  <c r="H18" i="1"/>
  <c r="D20" i="1"/>
  <c r="F20" i="1" s="1"/>
  <c r="K27" i="1"/>
  <c r="M27" i="1" s="1"/>
  <c r="N27" i="1" s="1"/>
  <c r="D27" i="1"/>
  <c r="F27" i="1" s="1"/>
  <c r="F25" i="1"/>
  <c r="H25" i="1"/>
  <c r="D26" i="1"/>
  <c r="D19" i="1"/>
  <c r="F18" i="1"/>
  <c r="K20" i="1"/>
  <c r="M20" i="1" s="1"/>
  <c r="N20" i="1" s="1"/>
  <c r="G11" i="1" l="1"/>
  <c r="G12" i="1" s="1"/>
  <c r="I11" i="1"/>
  <c r="F12" i="1"/>
  <c r="K11" i="1"/>
  <c r="M11" i="1" s="1"/>
  <c r="N11" i="1" s="1"/>
  <c r="J11" i="1" s="1"/>
  <c r="K25" i="1"/>
  <c r="M25" i="1" s="1"/>
  <c r="N25" i="1" s="1"/>
  <c r="J25" i="1" s="1"/>
  <c r="J27" i="1" s="1"/>
  <c r="F26" i="1"/>
  <c r="I25" i="1"/>
  <c r="G25" i="1"/>
  <c r="G26" i="1" s="1"/>
  <c r="K18" i="1"/>
  <c r="M18" i="1" s="1"/>
  <c r="N18" i="1" s="1"/>
  <c r="J18" i="1" s="1"/>
  <c r="F19" i="1"/>
  <c r="I18" i="1"/>
  <c r="G18" i="1"/>
  <c r="G19" i="1" s="1"/>
  <c r="C27" i="1"/>
  <c r="J13" i="1" l="1"/>
  <c r="G13" i="1"/>
  <c r="G14" i="1" s="1"/>
  <c r="J20" i="1"/>
  <c r="C20" i="1"/>
  <c r="G20" i="1"/>
  <c r="G21" i="1" s="1"/>
  <c r="G27" i="1"/>
  <c r="G28" i="1"/>
</calcChain>
</file>

<file path=xl/sharedStrings.xml><?xml version="1.0" encoding="utf-8"?>
<sst xmlns="http://schemas.openxmlformats.org/spreadsheetml/2006/main" count="50" uniqueCount="24">
  <si>
    <t>Fare per mile</t>
  </si>
  <si>
    <t>Distance/1p</t>
  </si>
  <si>
    <t>Per click</t>
  </si>
  <si>
    <t>Pull off</t>
  </si>
  <si>
    <t>Initial distance</t>
  </si>
  <si>
    <t>Initial time</t>
  </si>
  <si>
    <t>Stop time</t>
  </si>
  <si>
    <t>First mile</t>
  </si>
  <si>
    <t>Actual</t>
  </si>
  <si>
    <t>Cost</t>
  </si>
  <si>
    <t>Two miles</t>
  </si>
  <si>
    <t>min</t>
  </si>
  <si>
    <t>sec</t>
  </si>
  <si>
    <t>Tariff three</t>
  </si>
  <si>
    <t>Tariff two - Midnight - 6am</t>
  </si>
  <si>
    <t>and Public Holidays</t>
  </si>
  <si>
    <t>Christmas &amp; New Year</t>
  </si>
  <si>
    <t>Taxi Meter Tariff Calculator.</t>
  </si>
  <si>
    <t>The approximate cost of your journey will then be calculated</t>
  </si>
  <si>
    <t>Journey (miles)</t>
  </si>
  <si>
    <t>6am - Midnight</t>
  </si>
  <si>
    <t xml:space="preserve">Tariff one </t>
  </si>
  <si>
    <t>Insert the length of your journey, in miles, into the green cell</t>
  </si>
  <si>
    <t>(This cost is only an indicator and does not reflect fluctuations in fuel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</si>
</sst>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#,##0.0"/>
  </numFmts>
  <fonts count="9" x14ac:knownFonts="1">
    <font>
      <sz val="11"/>
      <color indexed="8"/>
      <name val="Calibri"/>
      <family val="2"/>
    </font>
    <font>
      <sz val="12"/>
      <color indexed="48"/>
      <name val="Trebuchet MS"/>
      <family val="2"/>
    </font>
    <font>
      <sz val="12"/>
      <color indexed="10"/>
      <name val="Trebuchet MS"/>
      <family val="2"/>
    </font>
    <font>
      <sz val="12"/>
      <name val="Trebuchet MS"/>
      <family val="2"/>
    </font>
    <font>
      <sz val="11"/>
      <color indexed="8"/>
      <name val="Calibri"/>
      <family val="2"/>
    </font>
    <font>
      <b/>
      <sz val="12"/>
      <name val="Trebuchet MS"/>
      <family val="2"/>
    </font>
    <font>
      <b/>
      <sz val="16"/>
      <color indexed="8"/>
      <name val="Calibri"/>
      <family val="2"/>
    </font>
    <font>
      <b/>
      <sz val="12"/>
      <color indexed="8"/>
      <name val="Trebuchet MS"/>
      <family val="2"/>
    </font>
    <font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Alignment="0" applyProtection="0"/>
    <xf numFmtId="0" fontId="4" fillId="0" borderId="0" applyNumberFormat="0" applyFill="0" applyAlignment="0" applyProtection="0"/>
    <xf numFmtId="0" fontId="4" fillId="0" borderId="0" applyNumberFormat="0" applyBorder="0" applyAlignment="0" applyProtection="0"/>
    <xf numFmtId="0" fontId="4" fillId="0" borderId="0" applyNumberFormat="0" applyFont="0" applyAlignment="0" applyProtection="0"/>
    <xf numFmtId="0" fontId="4" fillId="0" borderId="0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NumberFormat="1" applyFont="1"/>
    <xf numFmtId="0" fontId="1" fillId="0" borderId="0" xfId="0" applyFont="1"/>
    <xf numFmtId="2" fontId="0" fillId="0" borderId="0" xfId="0" applyNumberFormat="1"/>
    <xf numFmtId="164" fontId="2" fillId="7" borderId="1" xfId="0" applyNumberFormat="1" applyFont="1" applyFill="1" applyBorder="1"/>
    <xf numFmtId="4" fontId="2" fillId="7" borderId="2" xfId="0" applyNumberFormat="1" applyFont="1" applyFill="1" applyBorder="1"/>
    <xf numFmtId="2" fontId="2" fillId="7" borderId="2" xfId="0" applyNumberFormat="1" applyFont="1" applyFill="1" applyBorder="1"/>
    <xf numFmtId="164" fontId="2" fillId="7" borderId="2" xfId="0" applyNumberFormat="1" applyFont="1" applyFill="1" applyBorder="1"/>
    <xf numFmtId="0" fontId="2" fillId="7" borderId="2" xfId="0" applyNumberFormat="1" applyFont="1" applyFill="1" applyBorder="1"/>
    <xf numFmtId="0" fontId="2" fillId="7" borderId="3" xfId="0" applyFont="1" applyFill="1" applyBorder="1"/>
    <xf numFmtId="164" fontId="2" fillId="7" borderId="4" xfId="0" applyNumberFormat="1" applyFont="1" applyFill="1" applyBorder="1"/>
    <xf numFmtId="0" fontId="2" fillId="7" borderId="5" xfId="0" applyFont="1" applyFill="1" applyBorder="1"/>
    <xf numFmtId="164" fontId="1" fillId="8" borderId="6" xfId="0" applyNumberFormat="1" applyFont="1" applyFill="1" applyBorder="1"/>
    <xf numFmtId="4" fontId="1" fillId="8" borderId="7" xfId="0" applyNumberFormat="1" applyFont="1" applyFill="1" applyBorder="1"/>
    <xf numFmtId="2" fontId="1" fillId="8" borderId="7" xfId="0" applyNumberFormat="1" applyFont="1" applyFill="1" applyBorder="1"/>
    <xf numFmtId="164" fontId="1" fillId="8" borderId="7" xfId="0" applyNumberFormat="1" applyFont="1" applyFill="1" applyBorder="1"/>
    <xf numFmtId="0" fontId="1" fillId="8" borderId="7" xfId="0" applyNumberFormat="1" applyFont="1" applyFill="1" applyBorder="1"/>
    <xf numFmtId="0" fontId="1" fillId="8" borderId="8" xfId="0" applyFont="1" applyFill="1" applyBorder="1"/>
    <xf numFmtId="164" fontId="1" fillId="8" borderId="9" xfId="0" applyNumberFormat="1" applyFont="1" applyFill="1" applyBorder="1"/>
    <xf numFmtId="164" fontId="1" fillId="8" borderId="5" xfId="0" applyNumberFormat="1" applyFont="1" applyFill="1" applyBorder="1"/>
    <xf numFmtId="3" fontId="0" fillId="0" borderId="0" xfId="0" applyNumberFormat="1"/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NumberFormat="1" applyFont="1" applyFill="1" applyBorder="1"/>
    <xf numFmtId="0" fontId="1" fillId="0" borderId="0" xfId="0" applyFont="1" applyFill="1" applyBorder="1"/>
    <xf numFmtId="164" fontId="2" fillId="7" borderId="12" xfId="0" applyNumberFormat="1" applyFont="1" applyFill="1" applyBorder="1"/>
    <xf numFmtId="0" fontId="3" fillId="7" borderId="0" xfId="0" applyFont="1" applyFill="1"/>
    <xf numFmtId="2" fontId="0" fillId="0" borderId="0" xfId="0" applyNumberFormat="1" applyFill="1"/>
    <xf numFmtId="0" fontId="0" fillId="0" borderId="0" xfId="0" applyFill="1"/>
    <xf numFmtId="2" fontId="3" fillId="0" borderId="0" xfId="0" applyNumberFormat="1" applyFont="1"/>
    <xf numFmtId="164" fontId="3" fillId="0" borderId="0" xfId="0" applyNumberFormat="1" applyFont="1"/>
    <xf numFmtId="0" fontId="1" fillId="0" borderId="0" xfId="0" applyNumberFormat="1" applyFont="1" applyFill="1" applyBorder="1"/>
    <xf numFmtId="164" fontId="1" fillId="8" borderId="14" xfId="0" applyNumberFormat="1" applyFont="1" applyFill="1" applyBorder="1"/>
    <xf numFmtId="164" fontId="1" fillId="8" borderId="15" xfId="0" applyNumberFormat="1" applyFont="1" applyFill="1" applyBorder="1"/>
    <xf numFmtId="164" fontId="0" fillId="0" borderId="0" xfId="0" applyNumberFormat="1"/>
    <xf numFmtId="0" fontId="3" fillId="0" borderId="0" xfId="0" applyNumberFormat="1" applyFont="1"/>
    <xf numFmtId="0" fontId="3" fillId="0" borderId="0" xfId="0" applyFont="1"/>
    <xf numFmtId="0" fontId="2" fillId="7" borderId="2" xfId="0" applyFont="1" applyFill="1" applyBorder="1"/>
    <xf numFmtId="164" fontId="2" fillId="7" borderId="3" xfId="0" applyNumberFormat="1" applyFont="1" applyFill="1" applyBorder="1"/>
    <xf numFmtId="0" fontId="2" fillId="7" borderId="16" xfId="0" applyFont="1" applyFill="1" applyBorder="1"/>
    <xf numFmtId="0" fontId="1" fillId="8" borderId="7" xfId="0" applyFont="1" applyFill="1" applyBorder="1"/>
    <xf numFmtId="164" fontId="1" fillId="8" borderId="17" xfId="0" applyNumberFormat="1" applyFont="1" applyFill="1" applyBorder="1"/>
    <xf numFmtId="164" fontId="1" fillId="8" borderId="16" xfId="0" applyNumberFormat="1" applyFont="1" applyFill="1" applyBorder="1"/>
    <xf numFmtId="164" fontId="2" fillId="7" borderId="16" xfId="0" applyNumberFormat="1" applyFont="1" applyFill="1" applyBorder="1"/>
    <xf numFmtId="0" fontId="0" fillId="7" borderId="0" xfId="0" applyFill="1"/>
    <xf numFmtId="164" fontId="3" fillId="0" borderId="10" xfId="0" applyNumberFormat="1" applyFont="1" applyFill="1" applyBorder="1"/>
    <xf numFmtId="4" fontId="3" fillId="0" borderId="11" xfId="0" applyNumberFormat="1" applyFont="1" applyFill="1" applyBorder="1"/>
    <xf numFmtId="164" fontId="3" fillId="7" borderId="1" xfId="0" applyNumberFormat="1" applyFont="1" applyFill="1" applyBorder="1"/>
    <xf numFmtId="4" fontId="3" fillId="7" borderId="2" xfId="0" applyNumberFormat="1" applyFont="1" applyFill="1" applyBorder="1"/>
    <xf numFmtId="164" fontId="3" fillId="8" borderId="6" xfId="0" applyNumberFormat="1" applyFont="1" applyFill="1" applyBorder="1"/>
    <xf numFmtId="4" fontId="3" fillId="8" borderId="7" xfId="0" applyNumberFormat="1" applyFont="1" applyFill="1" applyBorder="1"/>
    <xf numFmtId="3" fontId="3" fillId="0" borderId="6" xfId="0" applyNumberFormat="1" applyFont="1" applyFill="1" applyBorder="1"/>
    <xf numFmtId="164" fontId="3" fillId="10" borderId="13" xfId="0" applyNumberFormat="1" applyFont="1" applyFill="1" applyBorder="1"/>
    <xf numFmtId="165" fontId="3" fillId="9" borderId="6" xfId="0" applyNumberFormat="1" applyFont="1" applyFill="1" applyBorder="1"/>
    <xf numFmtId="0" fontId="0" fillId="11" borderId="0" xfId="0" applyFill="1"/>
    <xf numFmtId="0" fontId="0" fillId="11" borderId="0" xfId="0" applyFill="1" applyAlignment="1"/>
    <xf numFmtId="2" fontId="1" fillId="11" borderId="0" xfId="0" applyNumberFormat="1" applyFont="1" applyFill="1"/>
    <xf numFmtId="164" fontId="1" fillId="11" borderId="0" xfId="0" applyNumberFormat="1" applyFont="1" applyFill="1"/>
    <xf numFmtId="0" fontId="1" fillId="11" borderId="0" xfId="0" applyNumberFormat="1" applyFont="1" applyFill="1"/>
    <xf numFmtId="0" fontId="1" fillId="11" borderId="0" xfId="0" applyFont="1" applyFill="1"/>
    <xf numFmtId="2" fontId="0" fillId="11" borderId="0" xfId="0" applyNumberFormat="1" applyFill="1"/>
    <xf numFmtId="164" fontId="0" fillId="11" borderId="0" xfId="0" applyNumberFormat="1" applyFill="1"/>
    <xf numFmtId="4" fontId="0" fillId="11" borderId="0" xfId="0" applyNumberFormat="1" applyFill="1"/>
    <xf numFmtId="3" fontId="3" fillId="11" borderId="0" xfId="0" applyNumberFormat="1" applyFont="1" applyFill="1" applyBorder="1"/>
    <xf numFmtId="4" fontId="3" fillId="11" borderId="0" xfId="0" applyNumberFormat="1" applyFont="1" applyFill="1" applyBorder="1"/>
    <xf numFmtId="164" fontId="3" fillId="11" borderId="0" xfId="0" applyNumberFormat="1" applyFont="1" applyFill="1"/>
    <xf numFmtId="4" fontId="3" fillId="11" borderId="0" xfId="0" applyNumberFormat="1" applyFont="1" applyFill="1"/>
    <xf numFmtId="0" fontId="6" fillId="11" borderId="0" xfId="0" applyFont="1" applyFill="1"/>
    <xf numFmtId="0" fontId="7" fillId="11" borderId="0" xfId="0" applyFont="1" applyFill="1" applyAlignment="1">
      <alignment horizontal="center"/>
    </xf>
    <xf numFmtId="164" fontId="5" fillId="11" borderId="18" xfId="0" applyNumberFormat="1" applyFont="1" applyFill="1" applyBorder="1" applyAlignment="1">
      <alignment horizontal="center"/>
    </xf>
    <xf numFmtId="164" fontId="5" fillId="11" borderId="0" xfId="0" applyNumberFormat="1" applyFont="1" applyFill="1" applyBorder="1" applyAlignment="1">
      <alignment horizontal="center"/>
    </xf>
    <xf numFmtId="164" fontId="5" fillId="11" borderId="0" xfId="0" applyNumberFormat="1" applyFont="1" applyFill="1" applyAlignment="1">
      <alignment horizontal="center"/>
    </xf>
    <xf numFmtId="0" fontId="8" fillId="11" borderId="0" xfId="0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workbookViewId="0">
      <selection activeCell="O8" sqref="O8"/>
    </sheetView>
  </sheetViews>
  <sheetFormatPr defaultRowHeight="15" x14ac:dyDescent="0.25"/>
  <cols>
    <col min="2" max="2" width="34.7109375" customWidth="1"/>
    <col min="3" max="3" width="13.28515625" bestFit="1" customWidth="1"/>
    <col min="4" max="14" width="9.140625" hidden="1" customWidth="1"/>
  </cols>
  <sheetData>
    <row r="1" spans="1:16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1" x14ac:dyDescent="0.35">
      <c r="A2" s="54"/>
      <c r="B2" s="67" t="s"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25">
      <c r="A4" s="54"/>
      <c r="B4" s="54" t="s">
        <v>22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x14ac:dyDescent="0.25">
      <c r="A6" s="54"/>
      <c r="B6" s="54" t="s">
        <v>18</v>
      </c>
      <c r="C6" s="5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x14ac:dyDescent="0.25">
      <c r="A7" s="54"/>
      <c r="B7" s="72" t="s">
        <v>23</v>
      </c>
      <c r="C7" s="55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ht="18" x14ac:dyDescent="0.35">
      <c r="A8" s="54"/>
      <c r="B8" s="68" t="s">
        <v>21</v>
      </c>
      <c r="C8" s="68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ht="18.75" thickBot="1" x14ac:dyDescent="0.4">
      <c r="A9" s="54"/>
      <c r="B9" s="69" t="s">
        <v>20</v>
      </c>
      <c r="C9" s="69"/>
      <c r="D9" s="56"/>
      <c r="E9" s="57"/>
      <c r="F9" s="56"/>
      <c r="G9" s="58"/>
      <c r="H9" s="59"/>
      <c r="I9" s="57"/>
      <c r="J9" s="54"/>
      <c r="K9" s="60"/>
      <c r="L9" s="60"/>
      <c r="M9" s="54"/>
      <c r="N9" s="54"/>
      <c r="O9" s="54"/>
      <c r="P9" s="54"/>
    </row>
    <row r="10" spans="1:16" ht="18.75" hidden="1" thickBot="1" x14ac:dyDescent="0.4">
      <c r="B10" s="4" t="s">
        <v>0</v>
      </c>
      <c r="C10" s="5" t="s">
        <v>1</v>
      </c>
      <c r="D10" s="6" t="s">
        <v>2</v>
      </c>
      <c r="E10" s="7" t="s">
        <v>3</v>
      </c>
      <c r="F10" s="6" t="s">
        <v>4</v>
      </c>
      <c r="G10" s="8" t="s">
        <v>5</v>
      </c>
      <c r="H10" s="9" t="s">
        <v>6</v>
      </c>
      <c r="I10" s="10" t="s">
        <v>7</v>
      </c>
      <c r="J10" s="11" t="s">
        <v>8</v>
      </c>
      <c r="K10" s="3"/>
      <c r="L10" s="3"/>
      <c r="P10" s="54"/>
    </row>
    <row r="11" spans="1:16" ht="18.75" hidden="1" thickBot="1" x14ac:dyDescent="0.4">
      <c r="B11" s="12">
        <v>2.15</v>
      </c>
      <c r="C11" s="13">
        <f>SUM(1760/B11)/100</f>
        <v>8.1860465116279073</v>
      </c>
      <c r="D11" s="14">
        <f>SUM(C11*20)</f>
        <v>163.72093023255815</v>
      </c>
      <c r="E11" s="15">
        <v>3</v>
      </c>
      <c r="F11" s="14">
        <f>SUM(1760-(((I13-E11)-B11)/0.2)*D11)</f>
        <v>720.37209302325573</v>
      </c>
      <c r="G11" s="16">
        <f>ROUND(F11/3.67, 0)</f>
        <v>196</v>
      </c>
      <c r="H11" s="17">
        <f>ROUNDUP(D11/3.67, 0)</f>
        <v>45</v>
      </c>
      <c r="I11" s="18">
        <f>SUM(((1760-F11)/D11)*0.2)+E11</f>
        <v>4.2700000000000005</v>
      </c>
      <c r="J11" s="19">
        <f>SUM(N11+E11)</f>
        <v>4.4000000000000004</v>
      </c>
      <c r="K11" s="3">
        <f>SUM((1760-F11)/D11)</f>
        <v>6.3500000000000005</v>
      </c>
      <c r="L11" s="3"/>
      <c r="M11" s="20">
        <f>ROUNDUP(K11, 0)</f>
        <v>7</v>
      </c>
      <c r="N11">
        <f>SUM(M11*0.2)</f>
        <v>1.4000000000000001</v>
      </c>
      <c r="P11" s="54"/>
    </row>
    <row r="12" spans="1:16" ht="18" x14ac:dyDescent="0.35">
      <c r="A12" s="54"/>
      <c r="B12" s="45" t="s">
        <v>19</v>
      </c>
      <c r="C12" s="46" t="s">
        <v>9</v>
      </c>
      <c r="D12" s="21">
        <f>SUM(D11*0.9144)</f>
        <v>149.70641860465116</v>
      </c>
      <c r="E12" s="22"/>
      <c r="F12" s="21">
        <f>SUM(F11*0.9144)</f>
        <v>658.70824186046502</v>
      </c>
      <c r="G12" s="23">
        <f>SUM(G11/60)</f>
        <v>3.2666666666666666</v>
      </c>
      <c r="H12" s="24"/>
      <c r="I12" s="25" t="s">
        <v>10</v>
      </c>
      <c r="J12" s="26"/>
      <c r="K12" s="27"/>
      <c r="L12" s="27"/>
      <c r="M12" s="28"/>
      <c r="N12" s="28"/>
      <c r="O12" s="54"/>
      <c r="P12" s="54"/>
    </row>
    <row r="13" spans="1:16" ht="18.75" thickBot="1" x14ac:dyDescent="0.4">
      <c r="A13" s="54"/>
      <c r="B13" s="53">
        <v>0</v>
      </c>
      <c r="C13" s="52">
        <f>SUM((F13*0.2)+J11)</f>
        <v>2.2000000000000002</v>
      </c>
      <c r="D13" s="29">
        <f>SUM(((B13-1)*1760)/D11)</f>
        <v>-10.75</v>
      </c>
      <c r="E13" s="30"/>
      <c r="F13" s="29">
        <f>ROUND(D13, 0)</f>
        <v>-11</v>
      </c>
      <c r="G13" s="31">
        <f>TRUNC(G12)</f>
        <v>3</v>
      </c>
      <c r="H13" s="2" t="s">
        <v>11</v>
      </c>
      <c r="I13" s="32">
        <v>6.42</v>
      </c>
      <c r="J13" s="33">
        <f>SUM(J11+N13)</f>
        <v>6.6000000000000005</v>
      </c>
      <c r="K13" s="3">
        <f>SUM(1760/D11)</f>
        <v>10.75</v>
      </c>
      <c r="L13" s="3"/>
      <c r="M13" s="3">
        <f>ROUNDUP(K13, 0)</f>
        <v>11</v>
      </c>
      <c r="N13">
        <f>SUM(M13*0.2)</f>
        <v>2.2000000000000002</v>
      </c>
      <c r="O13" s="54"/>
      <c r="P13" s="54"/>
    </row>
    <row r="14" spans="1:16" ht="18" x14ac:dyDescent="0.35">
      <c r="A14" s="54"/>
      <c r="B14" s="63"/>
      <c r="C14" s="64"/>
      <c r="D14" s="29"/>
      <c r="E14" s="30"/>
      <c r="F14" s="29"/>
      <c r="G14" s="1">
        <f>SUM(G12-G13)*60</f>
        <v>15.999999999999996</v>
      </c>
      <c r="H14" s="2" t="s">
        <v>12</v>
      </c>
      <c r="I14" s="22"/>
      <c r="K14" s="3"/>
      <c r="L14" s="3"/>
      <c r="N14" s="34"/>
      <c r="O14" s="54"/>
      <c r="P14" s="54"/>
    </row>
    <row r="15" spans="1:16" ht="18" x14ac:dyDescent="0.35">
      <c r="A15" s="54"/>
      <c r="B15" s="70" t="s">
        <v>14</v>
      </c>
      <c r="C15" s="70"/>
      <c r="D15" s="29"/>
      <c r="E15" s="30"/>
      <c r="F15" s="29"/>
      <c r="G15" s="1"/>
      <c r="H15" s="2"/>
      <c r="I15" s="22"/>
      <c r="K15" s="3"/>
      <c r="L15" s="3"/>
      <c r="N15" s="34"/>
      <c r="O15" s="54"/>
      <c r="P15" s="54"/>
    </row>
    <row r="16" spans="1:16" ht="18.75" thickBot="1" x14ac:dyDescent="0.4">
      <c r="A16" s="54"/>
      <c r="B16" s="69" t="s">
        <v>15</v>
      </c>
      <c r="C16" s="69"/>
      <c r="D16" s="29"/>
      <c r="E16" s="30"/>
      <c r="F16" s="29"/>
      <c r="G16" s="35"/>
      <c r="H16" s="36"/>
      <c r="I16" s="30"/>
      <c r="J16" s="36"/>
      <c r="K16" s="29"/>
      <c r="L16" s="29"/>
      <c r="M16" s="36"/>
      <c r="N16" s="36"/>
      <c r="O16" s="54"/>
      <c r="P16" s="54"/>
    </row>
    <row r="17" spans="1:16" ht="18" hidden="1" x14ac:dyDescent="0.35">
      <c r="A17" s="54"/>
      <c r="B17" s="47" t="s">
        <v>0</v>
      </c>
      <c r="C17" s="48" t="s">
        <v>1</v>
      </c>
      <c r="D17" s="6" t="s">
        <v>2</v>
      </c>
      <c r="E17" s="7" t="s">
        <v>3</v>
      </c>
      <c r="F17" s="6" t="s">
        <v>4</v>
      </c>
      <c r="G17" s="8" t="s">
        <v>5</v>
      </c>
      <c r="H17" s="37" t="s">
        <v>6</v>
      </c>
      <c r="I17" s="38" t="s">
        <v>7</v>
      </c>
      <c r="J17" s="39" t="s">
        <v>8</v>
      </c>
      <c r="K17" s="3"/>
      <c r="L17" s="3"/>
      <c r="O17" s="54"/>
      <c r="P17" s="54"/>
    </row>
    <row r="18" spans="1:16" ht="18.75" hidden="1" thickBot="1" x14ac:dyDescent="0.4">
      <c r="A18" s="54"/>
      <c r="B18" s="49">
        <f>B11*1.3355</f>
        <v>2.8713249999999997</v>
      </c>
      <c r="C18" s="50">
        <f>SUM(1760/B18)/100</f>
        <v>6.1295743254420874</v>
      </c>
      <c r="D18" s="14">
        <f>SUM(C18*25)</f>
        <v>153.23935813605218</v>
      </c>
      <c r="E18" s="15">
        <v>4</v>
      </c>
      <c r="F18" s="14">
        <f>SUM(1760-(((I20-E18)-B18)/0.25)*D18)</f>
        <v>722.29064978711881</v>
      </c>
      <c r="G18" s="16">
        <f>ROUND(F18/3.42, 0)</f>
        <v>211</v>
      </c>
      <c r="H18" s="40">
        <f>ROUNDUP(D18/3.42, 0)</f>
        <v>45</v>
      </c>
      <c r="I18" s="41">
        <f>SUM(((1760-F18)/D18)*0.25)+E18</f>
        <v>5.6929550000000004</v>
      </c>
      <c r="J18" s="42">
        <f>SUM(N18+E18)</f>
        <v>5.75</v>
      </c>
      <c r="K18" s="3">
        <f>SUM((1760-F18)/D18)</f>
        <v>6.7718200000000026</v>
      </c>
      <c r="L18" s="3"/>
      <c r="M18" s="20">
        <f>ROUND(K18, 0)</f>
        <v>7</v>
      </c>
      <c r="N18">
        <f>SUM(M18*0.25)</f>
        <v>1.75</v>
      </c>
      <c r="O18" s="54"/>
      <c r="P18" s="54"/>
    </row>
    <row r="19" spans="1:16" ht="18" x14ac:dyDescent="0.35">
      <c r="A19" s="54"/>
      <c r="B19" s="45"/>
      <c r="C19" s="46" t="s">
        <v>9</v>
      </c>
      <c r="D19" s="21">
        <f>SUM(D18*0.9144)</f>
        <v>140.12206907960612</v>
      </c>
      <c r="E19" s="22"/>
      <c r="F19" s="21">
        <f>SUM(F18*0.9144)</f>
        <v>660.46257016534139</v>
      </c>
      <c r="G19" s="23">
        <f>SUM(G18/60)</f>
        <v>3.5166666666666666</v>
      </c>
      <c r="H19" s="24"/>
      <c r="I19" s="43" t="s">
        <v>10</v>
      </c>
      <c r="J19" s="44"/>
      <c r="K19" s="27"/>
      <c r="L19" s="27"/>
      <c r="M19" s="28"/>
      <c r="N19" s="28"/>
      <c r="O19" s="54"/>
      <c r="P19" s="54"/>
    </row>
    <row r="20" spans="1:16" ht="18.75" thickBot="1" x14ac:dyDescent="0.4">
      <c r="A20" s="54"/>
      <c r="B20" s="51"/>
      <c r="C20" s="52">
        <f>SUM((F20*0.25)+J18)</f>
        <v>2.75</v>
      </c>
      <c r="D20" s="29">
        <f>SUM(((B13-1)*1760)/D18)</f>
        <v>-11.485300000000001</v>
      </c>
      <c r="E20" s="30"/>
      <c r="F20" s="29">
        <f>ROUNDUP(D20, 0)</f>
        <v>-12</v>
      </c>
      <c r="G20" s="31">
        <f>TRUNC(G19)</f>
        <v>3</v>
      </c>
      <c r="H20" s="2" t="s">
        <v>11</v>
      </c>
      <c r="I20" s="42">
        <f>I13*1.334</f>
        <v>8.5642800000000001</v>
      </c>
      <c r="J20" s="42">
        <f>SUM(J18+N20)</f>
        <v>8.5</v>
      </c>
      <c r="K20" s="3">
        <f>SUM(1760/D18)</f>
        <v>11.485300000000001</v>
      </c>
      <c r="L20" s="3"/>
      <c r="M20" s="3">
        <f>ROUND(K20, 0)</f>
        <v>11</v>
      </c>
      <c r="N20">
        <f>SUM(M20*0.25)</f>
        <v>2.75</v>
      </c>
      <c r="O20" s="54"/>
      <c r="P20" s="54"/>
    </row>
    <row r="21" spans="1:16" ht="18" x14ac:dyDescent="0.35">
      <c r="A21" s="54"/>
      <c r="B21" s="65"/>
      <c r="C21" s="66"/>
      <c r="D21" s="29"/>
      <c r="E21" s="30"/>
      <c r="F21" s="29"/>
      <c r="G21" s="1">
        <f>SUM(G19-G20)*60</f>
        <v>30.999999999999996</v>
      </c>
      <c r="H21" s="2" t="s">
        <v>12</v>
      </c>
      <c r="I21" s="30"/>
      <c r="K21" s="3"/>
      <c r="L21" s="3"/>
      <c r="N21" s="34"/>
      <c r="O21" s="54"/>
      <c r="P21" s="54"/>
    </row>
    <row r="22" spans="1:16" ht="18" x14ac:dyDescent="0.35">
      <c r="A22" s="54"/>
      <c r="B22" s="71" t="s">
        <v>13</v>
      </c>
      <c r="C22" s="71"/>
      <c r="D22" s="29"/>
      <c r="E22" s="30"/>
      <c r="F22" s="29"/>
      <c r="G22" s="1"/>
      <c r="H22" s="2"/>
      <c r="I22" s="30"/>
      <c r="K22" s="3"/>
      <c r="L22" s="3"/>
      <c r="N22" s="34"/>
      <c r="O22" s="54"/>
      <c r="P22" s="54"/>
    </row>
    <row r="23" spans="1:16" ht="18.75" thickBot="1" x14ac:dyDescent="0.4">
      <c r="A23" s="54"/>
      <c r="B23" s="69" t="s">
        <v>16</v>
      </c>
      <c r="C23" s="69"/>
      <c r="D23" s="29"/>
      <c r="E23" s="30"/>
      <c r="F23" s="29"/>
      <c r="G23" s="35"/>
      <c r="H23" s="36"/>
      <c r="I23" s="30"/>
      <c r="J23" s="36"/>
      <c r="K23" s="29"/>
      <c r="L23" s="29"/>
      <c r="M23" s="36"/>
      <c r="N23" s="36"/>
      <c r="O23" s="54"/>
      <c r="P23" s="54"/>
    </row>
    <row r="24" spans="1:16" ht="18" hidden="1" x14ac:dyDescent="0.35">
      <c r="A24" s="54"/>
      <c r="B24" s="47" t="s">
        <v>0</v>
      </c>
      <c r="C24" s="48" t="s">
        <v>1</v>
      </c>
      <c r="D24" s="6" t="s">
        <v>2</v>
      </c>
      <c r="E24" s="7" t="s">
        <v>3</v>
      </c>
      <c r="F24" s="6" t="s">
        <v>4</v>
      </c>
      <c r="G24" s="8" t="s">
        <v>5</v>
      </c>
      <c r="H24" s="37" t="s">
        <v>6</v>
      </c>
      <c r="I24" s="38" t="s">
        <v>7</v>
      </c>
      <c r="J24" s="39" t="s">
        <v>8</v>
      </c>
      <c r="K24" s="3"/>
      <c r="L24" s="3"/>
      <c r="O24" s="54"/>
      <c r="P24" s="54"/>
    </row>
    <row r="25" spans="1:16" ht="18.75" hidden="1" thickBot="1" x14ac:dyDescent="0.4">
      <c r="A25" s="54"/>
      <c r="B25" s="49">
        <f>SUM(B11*1.5)</f>
        <v>3.2249999999999996</v>
      </c>
      <c r="C25" s="50">
        <f>SUM(1760/B25)/100</f>
        <v>5.4573643410852721</v>
      </c>
      <c r="D25" s="14">
        <f>SUM(C25*30)</f>
        <v>163.72093023255817</v>
      </c>
      <c r="E25" s="15">
        <f>SUM(E11*1.5)</f>
        <v>4.5</v>
      </c>
      <c r="F25" s="14">
        <f>SUM(1760-(((I27-E25)-B25)/0.3)*D25)</f>
        <v>720.37209302325596</v>
      </c>
      <c r="G25" s="16">
        <f>ROUND(F25/3.67, 0)</f>
        <v>196</v>
      </c>
      <c r="H25" s="40">
        <f>ROUNDUP(D25/3.67, 0)</f>
        <v>45</v>
      </c>
      <c r="I25" s="41">
        <f>SUM(((1760-F25)/D25)*0.3)+E25</f>
        <v>6.4049999999999994</v>
      </c>
      <c r="J25" s="42">
        <f>SUM(N25+E25)</f>
        <v>6.6</v>
      </c>
      <c r="K25" s="3">
        <f>SUM((1760-F25)/D25)</f>
        <v>6.3499999999999979</v>
      </c>
      <c r="L25" s="3"/>
      <c r="M25" s="20">
        <f>ROUNDUP(K25, 0)</f>
        <v>7</v>
      </c>
      <c r="N25">
        <f>SUM(M25*0.3)</f>
        <v>2.1</v>
      </c>
      <c r="O25" s="54"/>
      <c r="P25" s="54"/>
    </row>
    <row r="26" spans="1:16" ht="18" x14ac:dyDescent="0.35">
      <c r="A26" s="54"/>
      <c r="B26" s="45"/>
      <c r="C26" s="46" t="s">
        <v>9</v>
      </c>
      <c r="D26" s="21">
        <f>SUM(D25*0.9144)</f>
        <v>149.70641860465119</v>
      </c>
      <c r="E26" s="22"/>
      <c r="F26" s="21">
        <f>SUM(F25*0.9144)</f>
        <v>658.70824186046525</v>
      </c>
      <c r="G26" s="23">
        <f>SUM(G25/60)</f>
        <v>3.2666666666666666</v>
      </c>
      <c r="H26" s="24"/>
      <c r="I26" s="43" t="s">
        <v>10</v>
      </c>
      <c r="J26" s="44"/>
      <c r="K26" s="3"/>
      <c r="L26" s="3"/>
      <c r="O26" s="54"/>
      <c r="P26" s="54"/>
    </row>
    <row r="27" spans="1:16" ht="18.75" thickBot="1" x14ac:dyDescent="0.4">
      <c r="A27" s="54"/>
      <c r="B27" s="51"/>
      <c r="C27" s="52">
        <f>SUM((F27*0.3)+J25)</f>
        <v>3.3</v>
      </c>
      <c r="D27" s="29">
        <f>SUM(((B13-1)*1760)/D25)</f>
        <v>-10.749999999999998</v>
      </c>
      <c r="E27" s="30"/>
      <c r="F27" s="29">
        <f>ROUNDUP(D27, 0)</f>
        <v>-11</v>
      </c>
      <c r="G27" s="31">
        <f>TRUNC(G26)</f>
        <v>3</v>
      </c>
      <c r="H27" s="2" t="s">
        <v>11</v>
      </c>
      <c r="I27" s="42">
        <f>SUM(I13*1.5)</f>
        <v>9.629999999999999</v>
      </c>
      <c r="J27" s="42">
        <f>SUM(J25+N27)</f>
        <v>9.8999999999999986</v>
      </c>
      <c r="K27" s="3">
        <f>SUM(1760/D25)</f>
        <v>10.749999999999998</v>
      </c>
      <c r="L27" s="3"/>
      <c r="M27" s="3">
        <f>ROUND(K27, 0)</f>
        <v>11</v>
      </c>
      <c r="N27">
        <f>SUM(M27*0.3)</f>
        <v>3.3</v>
      </c>
      <c r="O27" s="54"/>
      <c r="P27" s="54"/>
    </row>
    <row r="28" spans="1:16" ht="18" x14ac:dyDescent="0.35">
      <c r="A28" s="54"/>
      <c r="B28" s="61"/>
      <c r="C28" s="62"/>
      <c r="D28" s="60"/>
      <c r="E28" s="61"/>
      <c r="F28" s="60"/>
      <c r="G28" s="58">
        <f>SUM(G26-G27)*60</f>
        <v>15.999999999999996</v>
      </c>
      <c r="H28" s="59" t="s">
        <v>12</v>
      </c>
      <c r="I28" s="61"/>
      <c r="J28" s="54"/>
      <c r="K28" s="60"/>
      <c r="L28" s="60"/>
      <c r="M28" s="54"/>
      <c r="N28" s="61"/>
      <c r="O28" s="54"/>
      <c r="P28" s="54"/>
    </row>
    <row r="29" spans="1:16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</sheetData>
  <mergeCells count="6">
    <mergeCell ref="B8:C8"/>
    <mergeCell ref="B9:C9"/>
    <mergeCell ref="B23:C23"/>
    <mergeCell ref="B16:C16"/>
    <mergeCell ref="B15:C15"/>
    <mergeCell ref="B22:C22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Bournemouth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taxi-meter calculator spreadsheet</dc:title>
  <dc:creator>Dawn Gilbert</dc:creator>
  <cp:lastModifiedBy>Emma Sadiwskyj-Frewer</cp:lastModifiedBy>
  <dcterms:created xsi:type="dcterms:W3CDTF">2014-06-25T13:32:19Z</dcterms:created>
  <dcterms:modified xsi:type="dcterms:W3CDTF">2016-10-27T09:38:22Z</dcterms:modified>
  <cp:keywords>
  </cp:keywords>
  <dc:subject>
  </dc:subject>
</cp:coreProperties>
</file>